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10 Other Areas of Study/"/>
    </mc:Choice>
  </mc:AlternateContent>
  <xr:revisionPtr revIDLastSave="509" documentId="13_ncr:1_{75009515-ED40-48E3-B9AB-F6300AFD0045}" xr6:coauthVersionLast="46" xr6:coauthVersionMax="47" xr10:uidLastSave="{290E81BE-8CAE-4D71-822D-AEBE20CB3468}"/>
  <bookViews>
    <workbookView xWindow="13125" yWindow="-16365" windowWidth="29040" windowHeight="15840" xr2:uid="{23DAF12F-5CCB-441C-89CE-7D85E53BB105}"/>
  </bookViews>
  <sheets>
    <sheet name="Summary" sheetId="1" r:id="rId1"/>
    <sheet name="Average Energy Rate" sheetId="3" r:id="rId2"/>
  </sheets>
  <definedNames>
    <definedName name="_xlnm.Print_Area" localSheetId="0">Summary!$A$1:$L$48</definedName>
    <definedName name="_xlnm.Print_Titles" localSheetId="0">Summary!$1:$3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2" i="3"/>
  <c r="G25" i="3"/>
  <c r="F25" i="3"/>
  <c r="E25" i="3"/>
  <c r="C25" i="3"/>
  <c r="D25" i="3"/>
  <c r="C9" i="1"/>
  <c r="C45" i="1"/>
  <c r="C47" i="1"/>
  <c r="C46" i="1"/>
  <c r="F39" i="1"/>
  <c r="J39" i="1" s="1"/>
  <c r="F38" i="1"/>
  <c r="J38" i="1" s="1"/>
  <c r="I41" i="1"/>
  <c r="I40" i="1"/>
  <c r="I39" i="1"/>
  <c r="I38" i="1"/>
  <c r="C42" i="1"/>
  <c r="D45" i="1" s="1"/>
  <c r="F40" i="1"/>
  <c r="J28" i="1"/>
  <c r="J40" i="1" l="1"/>
  <c r="D46" i="1"/>
  <c r="D47" i="1"/>
  <c r="F41" i="1"/>
  <c r="F30" i="1"/>
  <c r="F29" i="1"/>
  <c r="F28" i="1"/>
  <c r="F27" i="1"/>
  <c r="D39" i="1" l="1"/>
  <c r="E39" i="1" s="1"/>
  <c r="K39" i="1" s="1"/>
  <c r="D38" i="1"/>
  <c r="E38" i="1" s="1"/>
  <c r="K38" i="1" s="1"/>
  <c r="D41" i="1"/>
  <c r="E41" i="1" s="1"/>
  <c r="K41" i="1" s="1"/>
  <c r="D40" i="1"/>
  <c r="E40" i="1" s="1"/>
  <c r="K40" i="1" s="1"/>
  <c r="J41" i="1"/>
  <c r="J42" i="1" s="1"/>
  <c r="F42" i="1"/>
  <c r="J29" i="1"/>
  <c r="J30" i="1"/>
  <c r="J27" i="1"/>
  <c r="C31" i="1"/>
  <c r="C34" i="1" s="1"/>
  <c r="C22" i="1"/>
  <c r="D22" i="1"/>
  <c r="E22" i="1"/>
  <c r="E21" i="1"/>
  <c r="E20" i="1"/>
  <c r="D20" i="1"/>
  <c r="C21" i="1"/>
  <c r="C20" i="1"/>
  <c r="F20" i="1" s="1"/>
  <c r="H20" i="1" s="1"/>
  <c r="D7" i="1"/>
  <c r="D9" i="1" s="1"/>
  <c r="G9" i="1"/>
  <c r="F9" i="1"/>
  <c r="E9" i="1"/>
  <c r="E16" i="1"/>
  <c r="D16" i="1"/>
  <c r="C16" i="1"/>
  <c r="C23" i="1" s="1"/>
  <c r="K42" i="1" l="1"/>
  <c r="E42" i="1"/>
  <c r="F22" i="1"/>
  <c r="D30" i="1" s="1"/>
  <c r="E30" i="1" s="1"/>
  <c r="E23" i="1"/>
  <c r="D27" i="1"/>
  <c r="D21" i="1"/>
  <c r="F21" i="1" s="1"/>
  <c r="D23" i="1"/>
  <c r="K30" i="1" l="1"/>
  <c r="G30" i="1"/>
  <c r="H22" i="1"/>
  <c r="H21" i="1"/>
  <c r="H23" i="1" s="1"/>
  <c r="D28" i="1"/>
  <c r="F23" i="1"/>
  <c r="E27" i="1"/>
  <c r="G27" i="1" s="1"/>
  <c r="D29" i="1"/>
  <c r="E28" i="1" l="1"/>
  <c r="E29" i="1"/>
  <c r="K27" i="1"/>
  <c r="K29" i="1" l="1"/>
  <c r="G29" i="1"/>
  <c r="K28" i="1"/>
  <c r="G28" i="1"/>
  <c r="G31" i="1" s="1"/>
  <c r="K31" i="1"/>
  <c r="E31" i="1"/>
</calcChain>
</file>

<file path=xl/sharedStrings.xml><?xml version="1.0" encoding="utf-8"?>
<sst xmlns="http://schemas.openxmlformats.org/spreadsheetml/2006/main" count="117" uniqueCount="71">
  <si>
    <t>Net Excess - KWH</t>
  </si>
  <si>
    <t>Residential</t>
  </si>
  <si>
    <t>Commercial</t>
  </si>
  <si>
    <t>Irrigation</t>
  </si>
  <si>
    <t>Totals</t>
  </si>
  <si>
    <t>Excess Net Energy Credit Transfers - Actuals</t>
  </si>
  <si>
    <t>Transfers as a % of KWH Balance</t>
  </si>
  <si>
    <t>3-year Average</t>
  </si>
  <si>
    <t>Estimated value of 12/31/21 All Excess kWh's</t>
  </si>
  <si>
    <t>Excess kWh's</t>
  </si>
  <si>
    <t>3-year avg % transferred (value)</t>
  </si>
  <si>
    <t>kWh's valued</t>
  </si>
  <si>
    <t>Average energy rate</t>
  </si>
  <si>
    <t>$ Value Customer</t>
  </si>
  <si>
    <t>FCA</t>
  </si>
  <si>
    <t xml:space="preserve"> SBAR</t>
  </si>
  <si>
    <t>FCA plus SBAR</t>
  </si>
  <si>
    <t>Cost to Other Customers</t>
  </si>
  <si>
    <t>Small Commercial</t>
  </si>
  <si>
    <t>Large Commercial</t>
  </si>
  <si>
    <t>Legacy</t>
  </si>
  <si>
    <t>Non-legacy</t>
  </si>
  <si>
    <t>Estimated cost/benefit of expiring 12/31/21 Non-Legacy Excess kWh's</t>
  </si>
  <si>
    <t>$ Value @ Average energy mill rate</t>
  </si>
  <si>
    <t>$ Value @ Average ELAP ECR</t>
  </si>
  <si>
    <t>(Cost)/Benefit to Other Customers</t>
  </si>
  <si>
    <t>Benefit to Idaho Power</t>
  </si>
  <si>
    <t>PCA Impact</t>
  </si>
  <si>
    <t xml:space="preserve">Idaho Power IRP </t>
  </si>
  <si>
    <t>Avg. ICE-Mid-C</t>
  </si>
  <si>
    <t>Avg. ELAP</t>
  </si>
  <si>
    <t>Average Energy Rates - Spring 2022 Update - June 2022-May 2023 Test Year, Rates Effective December 31, 2021</t>
  </si>
  <si>
    <t>(a)</t>
  </si>
  <si>
    <t>(b)</t>
  </si>
  <si>
    <t>(c)</t>
  </si>
  <si>
    <t>(d)</t>
  </si>
  <si>
    <t>(e) [b + c + d]</t>
  </si>
  <si>
    <t>(f) [e / a]</t>
  </si>
  <si>
    <t>Idaho</t>
  </si>
  <si>
    <t>kWh Consumption</t>
  </si>
  <si>
    <t>Energy Charges</t>
  </si>
  <si>
    <t>PCA</t>
  </si>
  <si>
    <t>Total Charges</t>
  </si>
  <si>
    <t>Average Rate ($/kWh)</t>
  </si>
  <si>
    <t>I01/I06</t>
  </si>
  <si>
    <t>I07/I08</t>
  </si>
  <si>
    <t>I09S/P/T/84L</t>
  </si>
  <si>
    <t>I24/84A</t>
  </si>
  <si>
    <t>Oregon</t>
  </si>
  <si>
    <t>PCAM</t>
  </si>
  <si>
    <t>APCU - March Forecast</t>
  </si>
  <si>
    <t>O01</t>
  </si>
  <si>
    <t>O07</t>
  </si>
  <si>
    <t>O09S/P/T/84L</t>
  </si>
  <si>
    <t>O24/84A</t>
  </si>
  <si>
    <t>Total System</t>
  </si>
  <si>
    <t>PCA/PCAM/APCU</t>
  </si>
  <si>
    <t>01</t>
  </si>
  <si>
    <t>07/08</t>
  </si>
  <si>
    <t>09S/P/T/84L</t>
  </si>
  <si>
    <t>24/84A</t>
  </si>
  <si>
    <t>Check</t>
  </si>
  <si>
    <t>Net Metering Excess kWh Valuation &amp; Expiration Scenarios</t>
  </si>
  <si>
    <t>Year Ending</t>
  </si>
  <si>
    <t>Excess Net</t>
  </si>
  <si>
    <t>Energy Credit</t>
  </si>
  <si>
    <t>Transfer</t>
  </si>
  <si>
    <t>Value</t>
  </si>
  <si>
    <t>Customer Class</t>
  </si>
  <si>
    <t>Flat Export Credit Rates 
(Real Time)</t>
  </si>
  <si>
    <t>Appendix 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</si>
</sst>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0_);[Red]\(&quot;$&quot;#,##0.000000\)"/>
    <numFmt numFmtId="166" formatCode="&quot;$&quot;#,##0.000000_);\(&quot;$&quot;#,##0.000000\)"/>
    <numFmt numFmtId="167" formatCode="_(* #,##0_);_(* \(#,##0\);_(* &quot;-&quot;??_);_(@_)"/>
    <numFmt numFmtId="168" formatCode="_(&quot;$&quot;* #,##0.000000_);_(&quot;$&quot;* \(#,##0.000000\);_(&quot;$&quot;* &quot;-&quot;??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thin">
        <color theme="0" tint="-0.14996795556505021"/>
      </top>
      <bottom style="dott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3" fontId="3" fillId="0" borderId="0" xfId="0" applyNumberFormat="1" applyFont="1" applyAlignment="1">
      <alignment vertical="center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6" fontId="2" fillId="0" borderId="0" xfId="0" applyNumberFormat="1" applyFont="1"/>
    <xf numFmtId="8" fontId="0" fillId="0" borderId="0" xfId="0" applyNumberFormat="1"/>
    <xf numFmtId="167" fontId="0" fillId="0" borderId="0" xfId="3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6" fillId="2" borderId="0" xfId="0" applyFont="1" applyFill="1" applyBorder="1" applyAlignment="1"/>
    <xf numFmtId="0" fontId="7" fillId="2" borderId="0" xfId="0" applyFont="1" applyFill="1"/>
    <xf numFmtId="0" fontId="6" fillId="3" borderId="2" xfId="0" applyFont="1" applyFill="1" applyBorder="1"/>
    <xf numFmtId="14" fontId="6" fillId="3" borderId="3" xfId="0" applyNumberFormat="1" applyFont="1" applyFill="1" applyBorder="1"/>
    <xf numFmtId="14" fontId="6" fillId="3" borderId="4" xfId="0" applyNumberFormat="1" applyFont="1" applyFill="1" applyBorder="1"/>
    <xf numFmtId="0" fontId="0" fillId="0" borderId="5" xfId="0" applyFont="1" applyBorder="1"/>
    <xf numFmtId="3" fontId="0" fillId="0" borderId="5" xfId="0" applyNumberFormat="1" applyBorder="1"/>
    <xf numFmtId="0" fontId="0" fillId="0" borderId="7" xfId="0" applyFont="1" applyBorder="1"/>
    <xf numFmtId="3" fontId="0" fillId="0" borderId="7" xfId="0" applyNumberFormat="1" applyBorder="1"/>
    <xf numFmtId="0" fontId="2" fillId="4" borderId="8" xfId="0" applyFont="1" applyFill="1" applyBorder="1"/>
    <xf numFmtId="3" fontId="2" fillId="4" borderId="9" xfId="0" applyNumberFormat="1" applyFont="1" applyFill="1" applyBorder="1"/>
    <xf numFmtId="3" fontId="2" fillId="4" borderId="10" xfId="0" applyNumberFormat="1" applyFont="1" applyFill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10" fontId="2" fillId="4" borderId="9" xfId="1" applyNumberFormat="1" applyFont="1" applyFill="1" applyBorder="1"/>
    <xf numFmtId="0" fontId="6" fillId="2" borderId="0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right"/>
    </xf>
    <xf numFmtId="3" fontId="2" fillId="4" borderId="6" xfId="0" applyNumberFormat="1" applyFont="1" applyFill="1" applyBorder="1"/>
    <xf numFmtId="0" fontId="6" fillId="3" borderId="2" xfId="0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6" fillId="3" borderId="4" xfId="0" applyNumberFormat="1" applyFont="1" applyFill="1" applyBorder="1" applyAlignment="1">
      <alignment horizontal="center" wrapText="1"/>
    </xf>
    <xf numFmtId="10" fontId="0" fillId="0" borderId="11" xfId="1" applyNumberFormat="1" applyFont="1" applyBorder="1"/>
    <xf numFmtId="14" fontId="6" fillId="3" borderId="4" xfId="0" applyNumberFormat="1" applyFont="1" applyFill="1" applyBorder="1" applyAlignment="1">
      <alignment horizontal="right"/>
    </xf>
    <xf numFmtId="3" fontId="0" fillId="0" borderId="11" xfId="0" applyNumberFormat="1" applyBorder="1"/>
    <xf numFmtId="165" fontId="0" fillId="0" borderId="5" xfId="0" applyNumberFormat="1" applyBorder="1"/>
    <xf numFmtId="164" fontId="0" fillId="0" borderId="5" xfId="2" applyNumberFormat="1" applyFont="1" applyBorder="1"/>
    <xf numFmtId="167" fontId="0" fillId="0" borderId="5" xfId="0" applyNumberFormat="1" applyBorder="1"/>
    <xf numFmtId="42" fontId="0" fillId="0" borderId="5" xfId="2" applyNumberFormat="1" applyFont="1" applyBorder="1"/>
    <xf numFmtId="41" fontId="0" fillId="0" borderId="5" xfId="2" applyNumberFormat="1" applyFont="1" applyBorder="1"/>
    <xf numFmtId="168" fontId="0" fillId="0" borderId="5" xfId="0" applyNumberFormat="1" applyBorder="1"/>
    <xf numFmtId="167" fontId="4" fillId="0" borderId="7" xfId="0" applyNumberFormat="1" applyFont="1" applyBorder="1"/>
    <xf numFmtId="165" fontId="0" fillId="0" borderId="7" xfId="0" applyNumberFormat="1" applyBorder="1"/>
    <xf numFmtId="41" fontId="5" fillId="0" borderId="7" xfId="2" applyNumberFormat="1" applyFont="1" applyBorder="1"/>
    <xf numFmtId="168" fontId="0" fillId="0" borderId="7" xfId="0" applyNumberFormat="1" applyBorder="1"/>
    <xf numFmtId="41" fontId="2" fillId="4" borderId="9" xfId="0" applyNumberFormat="1" applyFont="1" applyFill="1" applyBorder="1"/>
    <xf numFmtId="10" fontId="0" fillId="4" borderId="9" xfId="1" applyNumberFormat="1" applyFont="1" applyFill="1" applyBorder="1"/>
    <xf numFmtId="42" fontId="2" fillId="4" borderId="9" xfId="2" applyNumberFormat="1" applyFont="1" applyFill="1" applyBorder="1"/>
    <xf numFmtId="0" fontId="0" fillId="4" borderId="9" xfId="0" applyFill="1" applyBorder="1"/>
    <xf numFmtId="42" fontId="2" fillId="4" borderId="10" xfId="2" applyNumberFormat="1" applyFont="1" applyFill="1" applyBorder="1"/>
    <xf numFmtId="0" fontId="8" fillId="4" borderId="12" xfId="0" applyFont="1" applyFill="1" applyBorder="1"/>
    <xf numFmtId="3" fontId="8" fillId="4" borderId="13" xfId="0" applyNumberFormat="1" applyFont="1" applyFill="1" applyBorder="1"/>
    <xf numFmtId="0" fontId="8" fillId="4" borderId="14" xfId="0" applyFont="1" applyFill="1" applyBorder="1"/>
    <xf numFmtId="3" fontId="8" fillId="4" borderId="15" xfId="0" applyNumberFormat="1" applyFont="1" applyFill="1" applyBorder="1"/>
    <xf numFmtId="0" fontId="6" fillId="2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0" fillId="0" borderId="5" xfId="0" applyBorder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37" fontId="0" fillId="0" borderId="5" xfId="0" applyNumberFormat="1" applyBorder="1"/>
    <xf numFmtId="5" fontId="0" fillId="0" borderId="5" xfId="0" applyNumberFormat="1" applyBorder="1"/>
    <xf numFmtId="166" fontId="2" fillId="4" borderId="19" xfId="0" applyNumberFormat="1" applyFont="1" applyFill="1" applyBorder="1"/>
    <xf numFmtId="166" fontId="2" fillId="4" borderId="20" xfId="0" applyNumberFormat="1" applyFont="1" applyFill="1" applyBorder="1"/>
    <xf numFmtId="166" fontId="2" fillId="4" borderId="21" xfId="0" applyNumberFormat="1" applyFont="1" applyFill="1" applyBorder="1"/>
    <xf numFmtId="0" fontId="9" fillId="0" borderId="0" xfId="0" applyFont="1"/>
    <xf numFmtId="41" fontId="9" fillId="0" borderId="0" xfId="0" applyNumberFormat="1" applyFont="1"/>
    <xf numFmtId="14" fontId="6" fillId="2" borderId="16" xfId="0" applyNumberFormat="1" applyFont="1" applyFill="1" applyBorder="1" applyAlignment="1">
      <alignment horizontal="center" wrapText="1"/>
    </xf>
    <xf numFmtId="14" fontId="6" fillId="2" borderId="17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A548-BFDD-4724-9B48-7371B4662DA9}">
  <sheetPr>
    <pageSetUpPr fitToPage="1"/>
  </sheetPr>
  <dimension ref="A1:L47"/>
  <sheetViews>
    <sheetView showGridLines="0" tabSelected="1" zoomScaleNormal="100" zoomScaleSheetLayoutView="100" workbookViewId="0"/>
  </sheetViews>
  <sheetFormatPr defaultRowHeight="14.4" x14ac:dyDescent="0.3"/>
  <cols>
    <col min="1" max="1" width="1.6640625" customWidth="1"/>
    <col min="2" max="2" width="17.44140625" customWidth="1"/>
    <col min="3" max="11" width="13.6640625" customWidth="1"/>
    <col min="12" max="12" width="1.6640625" customWidth="1"/>
  </cols>
  <sheetData>
    <row r="1" spans="1:11" x14ac:dyDescent="0.3">
      <c r="A1" s="2" t="s">
        <v>70</v>
      </c>
    </row>
    <row r="2" spans="1:11" x14ac:dyDescent="0.3">
      <c r="A2" s="12" t="s">
        <v>62</v>
      </c>
    </row>
    <row r="3" spans="1:11" ht="5.0999999999999996" customHeight="1" x14ac:dyDescent="0.3">
      <c r="B3" s="2"/>
    </row>
    <row r="4" spans="1:11" x14ac:dyDescent="0.3">
      <c r="B4" s="13" t="s">
        <v>0</v>
      </c>
      <c r="C4" s="14"/>
      <c r="D4" s="13"/>
      <c r="E4" s="13"/>
      <c r="F4" s="13"/>
      <c r="G4" s="13"/>
    </row>
    <row r="5" spans="1:11" x14ac:dyDescent="0.3">
      <c r="B5" s="15" t="s">
        <v>63</v>
      </c>
      <c r="C5" s="16">
        <v>43100</v>
      </c>
      <c r="D5" s="16">
        <v>43465</v>
      </c>
      <c r="E5" s="16">
        <v>43830</v>
      </c>
      <c r="F5" s="16">
        <v>44196</v>
      </c>
      <c r="G5" s="17">
        <v>44561</v>
      </c>
    </row>
    <row r="6" spans="1:11" x14ac:dyDescent="0.3">
      <c r="B6" s="18" t="s">
        <v>1</v>
      </c>
      <c r="C6" s="19">
        <v>1221905</v>
      </c>
      <c r="D6" s="19">
        <v>2403300</v>
      </c>
      <c r="E6" s="19">
        <v>4085443</v>
      </c>
      <c r="F6" s="19">
        <v>6647046</v>
      </c>
      <c r="G6" s="19">
        <v>9254704</v>
      </c>
      <c r="H6" s="4"/>
    </row>
    <row r="7" spans="1:11" x14ac:dyDescent="0.3">
      <c r="B7" s="18" t="s">
        <v>2</v>
      </c>
      <c r="C7" s="19">
        <v>1102169</v>
      </c>
      <c r="D7" s="19">
        <f>2204539-897680+42082</f>
        <v>1348941</v>
      </c>
      <c r="E7" s="19">
        <v>1642327</v>
      </c>
      <c r="F7" s="19">
        <v>1863952</v>
      </c>
      <c r="G7" s="19">
        <v>2503889</v>
      </c>
    </row>
    <row r="8" spans="1:11" x14ac:dyDescent="0.3">
      <c r="B8" s="20" t="s">
        <v>3</v>
      </c>
      <c r="C8" s="21">
        <v>325442</v>
      </c>
      <c r="D8" s="21">
        <v>593742</v>
      </c>
      <c r="E8" s="21">
        <v>1890334</v>
      </c>
      <c r="F8" s="21">
        <v>2769905</v>
      </c>
      <c r="G8" s="21">
        <v>5333265</v>
      </c>
      <c r="H8" s="4"/>
    </row>
    <row r="9" spans="1:11" x14ac:dyDescent="0.3">
      <c r="B9" s="22" t="s">
        <v>4</v>
      </c>
      <c r="C9" s="23">
        <f>SUM(C6:C8)</f>
        <v>2649516</v>
      </c>
      <c r="D9" s="23">
        <f>SUM(D6:D8)</f>
        <v>4345983</v>
      </c>
      <c r="E9" s="23">
        <f>SUM(E6:E8)</f>
        <v>7618104</v>
      </c>
      <c r="F9" s="23">
        <f>SUM(F6:F8)</f>
        <v>11280903</v>
      </c>
      <c r="G9" s="24">
        <f>SUM(G6:G8)</f>
        <v>17091858</v>
      </c>
      <c r="H9" s="4"/>
    </row>
    <row r="10" spans="1:11" x14ac:dyDescent="0.3">
      <c r="B10" s="2"/>
      <c r="C10" s="3"/>
      <c r="D10" s="3"/>
      <c r="E10" s="3"/>
      <c r="F10" s="3"/>
      <c r="G10" s="3"/>
      <c r="H10" s="4"/>
    </row>
    <row r="11" spans="1:11" ht="15" customHeight="1" x14ac:dyDescent="0.3">
      <c r="B11" s="13" t="s">
        <v>5</v>
      </c>
      <c r="C11" s="14"/>
      <c r="D11" s="13"/>
      <c r="E11" s="13"/>
    </row>
    <row r="12" spans="1:11" x14ac:dyDescent="0.3">
      <c r="B12" s="15" t="s">
        <v>63</v>
      </c>
      <c r="C12" s="16">
        <v>43465</v>
      </c>
      <c r="D12" s="16">
        <v>43830</v>
      </c>
      <c r="E12" s="17">
        <v>44196</v>
      </c>
    </row>
    <row r="13" spans="1:11" x14ac:dyDescent="0.3">
      <c r="B13" s="18" t="s">
        <v>1</v>
      </c>
      <c r="C13" s="19">
        <v>288583</v>
      </c>
      <c r="D13" s="19">
        <v>360181</v>
      </c>
      <c r="E13" s="36">
        <v>258604</v>
      </c>
    </row>
    <row r="14" spans="1:11" x14ac:dyDescent="0.3">
      <c r="B14" s="18" t="s">
        <v>2</v>
      </c>
      <c r="C14" s="19">
        <v>227368</v>
      </c>
      <c r="D14" s="19">
        <v>402555</v>
      </c>
      <c r="E14" s="19">
        <v>688140</v>
      </c>
    </row>
    <row r="15" spans="1:11" x14ac:dyDescent="0.3">
      <c r="B15" s="20" t="s">
        <v>3</v>
      </c>
      <c r="C15" s="21">
        <v>358542</v>
      </c>
      <c r="D15" s="21">
        <v>1355974</v>
      </c>
      <c r="E15" s="21">
        <v>2295092</v>
      </c>
      <c r="H15" s="28" t="s">
        <v>64</v>
      </c>
    </row>
    <row r="16" spans="1:11" x14ac:dyDescent="0.3">
      <c r="B16" s="22" t="s">
        <v>4</v>
      </c>
      <c r="C16" s="23">
        <f>SUM(C13:C15)</f>
        <v>874493</v>
      </c>
      <c r="D16" s="23">
        <f>SUM(D13:D15)</f>
        <v>2118710</v>
      </c>
      <c r="E16" s="24">
        <f>SUM(E13:E15)</f>
        <v>3241836</v>
      </c>
      <c r="H16" s="28" t="s">
        <v>65</v>
      </c>
      <c r="K16" s="9"/>
    </row>
    <row r="17" spans="2:12" x14ac:dyDescent="0.3">
      <c r="H17" s="28" t="s">
        <v>66</v>
      </c>
    </row>
    <row r="18" spans="2:12" x14ac:dyDescent="0.3">
      <c r="B18" s="13" t="s">
        <v>6</v>
      </c>
      <c r="C18" s="14"/>
      <c r="D18" s="13"/>
      <c r="E18" s="13"/>
      <c r="F18" s="13"/>
      <c r="H18" s="28" t="s">
        <v>67</v>
      </c>
    </row>
    <row r="19" spans="2:12" x14ac:dyDescent="0.3">
      <c r="B19" s="15" t="s">
        <v>63</v>
      </c>
      <c r="C19" s="16">
        <v>43465</v>
      </c>
      <c r="D19" s="16">
        <v>43830</v>
      </c>
      <c r="E19" s="16">
        <v>44196</v>
      </c>
      <c r="F19" s="35" t="s">
        <v>7</v>
      </c>
      <c r="H19" s="29">
        <v>44561</v>
      </c>
    </row>
    <row r="20" spans="2:12" x14ac:dyDescent="0.3">
      <c r="B20" s="18" t="s">
        <v>1</v>
      </c>
      <c r="C20" s="25">
        <f t="shared" ref="C20:E21" si="0">C13/C6</f>
        <v>0.23617466169628573</v>
      </c>
      <c r="D20" s="25">
        <f t="shared" si="0"/>
        <v>0.14986934631548288</v>
      </c>
      <c r="E20" s="25">
        <f t="shared" si="0"/>
        <v>6.3298888272336679E-2</v>
      </c>
      <c r="F20" s="34">
        <f>AVERAGE(C20:E20)</f>
        <v>0.1497809654280351</v>
      </c>
      <c r="H20" s="19">
        <f>$G6*F20</f>
        <v>1386178.4998706982</v>
      </c>
    </row>
    <row r="21" spans="2:12" x14ac:dyDescent="0.3">
      <c r="B21" s="18" t="s">
        <v>2</v>
      </c>
      <c r="C21" s="25">
        <f t="shared" si="0"/>
        <v>0.20629141265994597</v>
      </c>
      <c r="D21" s="25">
        <f t="shared" si="0"/>
        <v>0.29842298514167781</v>
      </c>
      <c r="E21" s="25">
        <f t="shared" si="0"/>
        <v>0.4190030365450973</v>
      </c>
      <c r="F21" s="25">
        <f t="shared" ref="F21:F23" si="1">AVERAGE(C21:E21)</f>
        <v>0.307905811448907</v>
      </c>
      <c r="H21" s="19">
        <f>$G7*F21</f>
        <v>770961.97432299226</v>
      </c>
    </row>
    <row r="22" spans="2:12" x14ac:dyDescent="0.3">
      <c r="B22" s="20" t="s">
        <v>3</v>
      </c>
      <c r="C22" s="26">
        <f>IF((C15/C8)&gt;1,1,(C15/C8))</f>
        <v>1</v>
      </c>
      <c r="D22" s="26">
        <f>IF((D15/D8)&gt;1,1,(D15/D8))</f>
        <v>1</v>
      </c>
      <c r="E22" s="26">
        <f>IF((E15/E8)&gt;1,1,(E15/E8))</f>
        <v>1</v>
      </c>
      <c r="F22" s="26">
        <f t="shared" si="1"/>
        <v>1</v>
      </c>
      <c r="H22" s="21">
        <f>$G8*F22</f>
        <v>5333265</v>
      </c>
    </row>
    <row r="23" spans="2:12" x14ac:dyDescent="0.3">
      <c r="B23" s="22" t="s">
        <v>4</v>
      </c>
      <c r="C23" s="27">
        <f>C16/C9</f>
        <v>0.33005764071626664</v>
      </c>
      <c r="D23" s="27">
        <f>D16/D9</f>
        <v>0.48750996034729083</v>
      </c>
      <c r="E23" s="27">
        <f>E16/E9</f>
        <v>0.42554367858459269</v>
      </c>
      <c r="F23" s="27">
        <f t="shared" si="1"/>
        <v>0.41437042654938344</v>
      </c>
      <c r="H23" s="30">
        <f>SUM(H20:H22)</f>
        <v>7490405.4741936903</v>
      </c>
    </row>
    <row r="24" spans="2:12" ht="15" x14ac:dyDescent="0.3">
      <c r="C24" s="1"/>
    </row>
    <row r="25" spans="2:12" x14ac:dyDescent="0.3">
      <c r="B25" s="13" t="s">
        <v>8</v>
      </c>
      <c r="C25" s="14"/>
      <c r="D25" s="13"/>
      <c r="E25" s="13"/>
      <c r="F25" s="13"/>
      <c r="G25" s="13"/>
      <c r="H25" s="13"/>
      <c r="I25" s="13"/>
      <c r="J25" s="13"/>
      <c r="K25" s="13"/>
    </row>
    <row r="26" spans="2:12" ht="43.2" x14ac:dyDescent="0.3">
      <c r="B26" s="31" t="s">
        <v>68</v>
      </c>
      <c r="C26" s="32" t="s">
        <v>9</v>
      </c>
      <c r="D26" s="32" t="s">
        <v>10</v>
      </c>
      <c r="E26" s="32" t="s">
        <v>11</v>
      </c>
      <c r="F26" s="32" t="s">
        <v>12</v>
      </c>
      <c r="G26" s="32" t="s">
        <v>13</v>
      </c>
      <c r="H26" s="32" t="s">
        <v>14</v>
      </c>
      <c r="I26" s="32" t="s">
        <v>15</v>
      </c>
      <c r="J26" s="32" t="s">
        <v>16</v>
      </c>
      <c r="K26" s="33" t="s">
        <v>17</v>
      </c>
      <c r="L26" s="5"/>
    </row>
    <row r="27" spans="2:12" x14ac:dyDescent="0.3">
      <c r="B27" s="18" t="s">
        <v>1</v>
      </c>
      <c r="C27" s="39">
        <v>9254704</v>
      </c>
      <c r="D27" s="25">
        <f>F20</f>
        <v>0.1497809654280351</v>
      </c>
      <c r="E27" s="39">
        <f>C27*D27</f>
        <v>1386178.4998706982</v>
      </c>
      <c r="F27" s="37">
        <f>'Average Energy Rate'!H20</f>
        <v>9.9385000000000001E-2</v>
      </c>
      <c r="G27" s="40">
        <f>E27*F27</f>
        <v>137765.35020964933</v>
      </c>
      <c r="H27" s="42">
        <v>5.1602000000000002E-2</v>
      </c>
      <c r="I27" s="42">
        <v>2.6720000000000001E-2</v>
      </c>
      <c r="J27" s="42">
        <f>H27+I27</f>
        <v>7.8322000000000003E-2</v>
      </c>
      <c r="K27" s="40">
        <f>E27*J27</f>
        <v>108568.27246687283</v>
      </c>
      <c r="L27" s="8"/>
    </row>
    <row r="28" spans="2:12" x14ac:dyDescent="0.3">
      <c r="B28" s="18" t="s">
        <v>18</v>
      </c>
      <c r="C28" s="39">
        <v>872729</v>
      </c>
      <c r="D28" s="25">
        <f>F21</f>
        <v>0.307905811448907</v>
      </c>
      <c r="E28" s="39">
        <f>C28*D28</f>
        <v>268718.33091999317</v>
      </c>
      <c r="F28" s="37">
        <f>'Average Energy Rate'!H21</f>
        <v>0.11450100000000001</v>
      </c>
      <c r="G28" s="41">
        <f t="shared" ref="G28:G30" si="2">E28*F28</f>
        <v>30768.517608670139</v>
      </c>
      <c r="H28" s="42">
        <v>6.8633E-2</v>
      </c>
      <c r="I28" s="42">
        <v>2.6720000000000001E-2</v>
      </c>
      <c r="J28" s="42">
        <f>H28+I28</f>
        <v>9.5352999999999993E-2</v>
      </c>
      <c r="K28" s="41">
        <f>E28*J28</f>
        <v>25623.099008214107</v>
      </c>
      <c r="L28" s="8"/>
    </row>
    <row r="29" spans="2:12" x14ac:dyDescent="0.3">
      <c r="B29" s="18" t="s">
        <v>19</v>
      </c>
      <c r="C29" s="39">
        <v>1631160</v>
      </c>
      <c r="D29" s="25">
        <f>F21</f>
        <v>0.307905811448907</v>
      </c>
      <c r="E29" s="39">
        <f>C29*D29</f>
        <v>502243.64340299915</v>
      </c>
      <c r="F29" s="37">
        <f>'Average Energy Rate'!H22</f>
        <v>6.0498999999999997E-2</v>
      </c>
      <c r="G29" s="41">
        <f t="shared" si="2"/>
        <v>30385.238182238045</v>
      </c>
      <c r="H29" s="37"/>
      <c r="I29" s="42">
        <v>2.6720000000000001E-2</v>
      </c>
      <c r="J29" s="42">
        <f t="shared" ref="J29:J30" si="3">H29+I29</f>
        <v>2.6720000000000001E-2</v>
      </c>
      <c r="K29" s="41">
        <f>E29*J29</f>
        <v>13419.950151728137</v>
      </c>
      <c r="L29" s="8"/>
    </row>
    <row r="30" spans="2:12" ht="16.2" x14ac:dyDescent="0.45">
      <c r="B30" s="20" t="s">
        <v>3</v>
      </c>
      <c r="C30" s="43">
        <v>5333265</v>
      </c>
      <c r="D30" s="26">
        <f>F22</f>
        <v>1</v>
      </c>
      <c r="E30" s="43">
        <f>C30*D30</f>
        <v>5333265</v>
      </c>
      <c r="F30" s="44">
        <f>'Average Energy Rate'!H23</f>
        <v>6.5579999999999999E-2</v>
      </c>
      <c r="G30" s="45">
        <f t="shared" si="2"/>
        <v>349755.51870000002</v>
      </c>
      <c r="H30" s="44"/>
      <c r="I30" s="46">
        <v>2.6720000000000001E-2</v>
      </c>
      <c r="J30" s="46">
        <f t="shared" si="3"/>
        <v>2.6720000000000001E-2</v>
      </c>
      <c r="K30" s="45">
        <f>E30*J30</f>
        <v>142504.84080000001</v>
      </c>
      <c r="L30" s="8"/>
    </row>
    <row r="31" spans="2:12" x14ac:dyDescent="0.3">
      <c r="B31" s="22" t="s">
        <v>4</v>
      </c>
      <c r="C31" s="47">
        <f>SUM(C27:C30)</f>
        <v>17091858</v>
      </c>
      <c r="D31" s="48"/>
      <c r="E31" s="47">
        <f>SUM(E27:E30)</f>
        <v>7490405.4741936903</v>
      </c>
      <c r="F31" s="48"/>
      <c r="G31" s="49">
        <f>SUM(G27:G30)</f>
        <v>548674.62470055756</v>
      </c>
      <c r="H31" s="23"/>
      <c r="I31" s="50"/>
      <c r="J31" s="50"/>
      <c r="K31" s="51">
        <f>SUM(K27:K30)</f>
        <v>290116.16242681514</v>
      </c>
      <c r="L31" s="10"/>
    </row>
    <row r="32" spans="2:12" x14ac:dyDescent="0.3">
      <c r="C32" s="3"/>
    </row>
    <row r="33" spans="2:11" x14ac:dyDescent="0.3">
      <c r="B33" s="52" t="s">
        <v>20</v>
      </c>
      <c r="C33" s="53">
        <v>15033601</v>
      </c>
    </row>
    <row r="34" spans="2:11" x14ac:dyDescent="0.3">
      <c r="B34" s="54" t="s">
        <v>21</v>
      </c>
      <c r="C34" s="55">
        <f>C31-C33</f>
        <v>2058257</v>
      </c>
    </row>
    <row r="35" spans="2:11" x14ac:dyDescent="0.3">
      <c r="B35" s="2"/>
      <c r="C35" s="3"/>
    </row>
    <row r="36" spans="2:11" x14ac:dyDescent="0.3">
      <c r="B36" s="13" t="s">
        <v>22</v>
      </c>
      <c r="C36" s="14"/>
      <c r="D36" s="13"/>
      <c r="E36" s="13"/>
      <c r="F36" s="13"/>
      <c r="G36" s="13"/>
      <c r="H36" s="13"/>
      <c r="I36" s="13"/>
      <c r="J36" s="13"/>
      <c r="K36" s="13"/>
    </row>
    <row r="37" spans="2:11" ht="57.6" x14ac:dyDescent="0.3">
      <c r="B37" s="31" t="s">
        <v>68</v>
      </c>
      <c r="C37" s="32" t="s">
        <v>9</v>
      </c>
      <c r="D37" s="32" t="s">
        <v>12</v>
      </c>
      <c r="E37" s="32" t="s">
        <v>23</v>
      </c>
      <c r="F37" s="32" t="s">
        <v>24</v>
      </c>
      <c r="G37" s="32" t="s">
        <v>14</v>
      </c>
      <c r="H37" s="32" t="s">
        <v>15</v>
      </c>
      <c r="I37" s="32" t="s">
        <v>16</v>
      </c>
      <c r="J37" s="32" t="s">
        <v>25</v>
      </c>
      <c r="K37" s="33" t="s">
        <v>26</v>
      </c>
    </row>
    <row r="38" spans="2:11" x14ac:dyDescent="0.3">
      <c r="B38" s="18" t="s">
        <v>1</v>
      </c>
      <c r="C38" s="39">
        <v>1904664</v>
      </c>
      <c r="D38" s="37">
        <f>F27</f>
        <v>9.9385000000000001E-2</v>
      </c>
      <c r="E38" s="40">
        <f>C38*D38</f>
        <v>189295.03164</v>
      </c>
      <c r="F38" s="40">
        <f>C38*$C$47</f>
        <v>72015.345840000009</v>
      </c>
      <c r="G38" s="37">
        <v>5.1602000000000002E-2</v>
      </c>
      <c r="H38" s="37">
        <v>2.6720000000000001E-2</v>
      </c>
      <c r="I38" s="37">
        <f>G38+H38</f>
        <v>7.8322000000000003E-2</v>
      </c>
      <c r="J38" s="40">
        <f>-F38+(C38*I38)</f>
        <v>77161.747967999996</v>
      </c>
      <c r="K38" s="40">
        <f>E38-(C38*I38)</f>
        <v>40117.937831999996</v>
      </c>
    </row>
    <row r="39" spans="2:11" x14ac:dyDescent="0.3">
      <c r="B39" s="18" t="s">
        <v>18</v>
      </c>
      <c r="C39" s="39">
        <v>18943</v>
      </c>
      <c r="D39" s="37">
        <f>F28</f>
        <v>0.11450100000000001</v>
      </c>
      <c r="E39" s="41">
        <f t="shared" ref="E39:E41" si="4">C39*D39</f>
        <v>2168.9924430000001</v>
      </c>
      <c r="F39" s="41">
        <f t="shared" ref="F39:F41" si="5">C39*$C$47</f>
        <v>716.2348300000001</v>
      </c>
      <c r="G39" s="37">
        <v>6.8633E-2</v>
      </c>
      <c r="H39" s="37">
        <v>2.6720000000000001E-2</v>
      </c>
      <c r="I39" s="37">
        <f>G39+H39</f>
        <v>9.5352999999999993E-2</v>
      </c>
      <c r="J39" s="41">
        <f t="shared" ref="J39:J41" si="6">-F39+(C39*I39)</f>
        <v>1090.0370489999998</v>
      </c>
      <c r="K39" s="41">
        <f t="shared" ref="K39:K41" si="7">E39-(C39*I39)</f>
        <v>362.72056400000019</v>
      </c>
    </row>
    <row r="40" spans="2:11" x14ac:dyDescent="0.3">
      <c r="B40" s="18" t="s">
        <v>19</v>
      </c>
      <c r="C40" s="39">
        <v>55177</v>
      </c>
      <c r="D40" s="37">
        <f>F29</f>
        <v>6.0498999999999997E-2</v>
      </c>
      <c r="E40" s="41">
        <f t="shared" si="4"/>
        <v>3338.153323</v>
      </c>
      <c r="F40" s="41">
        <f t="shared" si="5"/>
        <v>2086.2423700000004</v>
      </c>
      <c r="G40" s="37"/>
      <c r="H40" s="37">
        <v>2.6720000000000001E-2</v>
      </c>
      <c r="I40" s="37">
        <f t="shared" ref="I40:I41" si="8">G40+H40</f>
        <v>2.6720000000000001E-2</v>
      </c>
      <c r="J40" s="41">
        <f t="shared" si="6"/>
        <v>-611.91293000000042</v>
      </c>
      <c r="K40" s="41">
        <f t="shared" si="7"/>
        <v>1863.823883</v>
      </c>
    </row>
    <row r="41" spans="2:11" ht="16.2" x14ac:dyDescent="0.45">
      <c r="B41" s="20" t="s">
        <v>3</v>
      </c>
      <c r="C41" s="43">
        <v>79473</v>
      </c>
      <c r="D41" s="44">
        <f>F30</f>
        <v>6.5579999999999999E-2</v>
      </c>
      <c r="E41" s="45">
        <f t="shared" si="4"/>
        <v>5211.8393399999995</v>
      </c>
      <c r="F41" s="45">
        <f t="shared" si="5"/>
        <v>3004.8741300000002</v>
      </c>
      <c r="G41" s="44"/>
      <c r="H41" s="44">
        <v>2.6720000000000001E-2</v>
      </c>
      <c r="I41" s="44">
        <f t="shared" si="8"/>
        <v>2.6720000000000001E-2</v>
      </c>
      <c r="J41" s="45">
        <f t="shared" si="6"/>
        <v>-881.35557000000017</v>
      </c>
      <c r="K41" s="45">
        <f t="shared" si="7"/>
        <v>3088.3207799999996</v>
      </c>
    </row>
    <row r="42" spans="2:11" x14ac:dyDescent="0.3">
      <c r="B42" s="22" t="s">
        <v>4</v>
      </c>
      <c r="C42" s="47">
        <f>SUM(C38:C41)</f>
        <v>2058257</v>
      </c>
      <c r="D42" s="48"/>
      <c r="E42" s="49">
        <f>SUM(E38:E41)</f>
        <v>200014.01674600001</v>
      </c>
      <c r="F42" s="49">
        <f>SUM(F38:F41)</f>
        <v>77822.697170000014</v>
      </c>
      <c r="G42" s="48"/>
      <c r="H42" s="48"/>
      <c r="I42" s="48"/>
      <c r="J42" s="49">
        <f>SUM(J38:J41)</f>
        <v>76758.516516999996</v>
      </c>
      <c r="K42" s="51">
        <f>SUM(K38:K41)</f>
        <v>45432.803058999998</v>
      </c>
    </row>
    <row r="43" spans="2:11" x14ac:dyDescent="0.3">
      <c r="B43" s="2"/>
      <c r="C43" s="3"/>
    </row>
    <row r="44" spans="2:11" ht="43.2" customHeight="1" x14ac:dyDescent="0.3">
      <c r="B44" s="68" t="s">
        <v>69</v>
      </c>
      <c r="C44" s="69"/>
      <c r="D44" s="57" t="s">
        <v>27</v>
      </c>
    </row>
    <row r="45" spans="2:11" x14ac:dyDescent="0.3">
      <c r="B45" s="58" t="s">
        <v>28</v>
      </c>
      <c r="C45" s="37">
        <f>27.96/1000</f>
        <v>2.7960000000000002E-2</v>
      </c>
      <c r="D45" s="38">
        <f>$C$42*C45</f>
        <v>57548.865720000002</v>
      </c>
    </row>
    <row r="46" spans="2:11" x14ac:dyDescent="0.3">
      <c r="B46" s="58" t="s">
        <v>29</v>
      </c>
      <c r="C46" s="37">
        <f>40.26/1000</f>
        <v>4.0259999999999997E-2</v>
      </c>
      <c r="D46" s="38">
        <f>$C$42*C46</f>
        <v>82865.426819999993</v>
      </c>
    </row>
    <row r="47" spans="2:11" x14ac:dyDescent="0.3">
      <c r="B47" s="58" t="s">
        <v>30</v>
      </c>
      <c r="C47" s="37">
        <f>37.81/1000</f>
        <v>3.7810000000000003E-2</v>
      </c>
      <c r="D47" s="38">
        <f>$C$42*C47</f>
        <v>77822.697170000014</v>
      </c>
    </row>
  </sheetData>
  <mergeCells count="1">
    <mergeCell ref="B44:C44"/>
  </mergeCells>
  <pageMargins left="0.7" right="0.7" top="0.75" bottom="0.75" header="0.3" footer="0.3"/>
  <pageSetup scale="84" fitToHeight="0" orientation="landscape" r:id="rId1"/>
  <headerFooter>
    <oddFooter>&amp;C&amp;1#&amp;"Calibri"&amp;10&amp;K000000Internal Use Only</oddFooter>
  </headerFooter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A85C-D048-4E16-9E6C-9735FDFBB5B9}">
  <sheetPr>
    <pageSetUpPr fitToPage="1"/>
  </sheetPr>
  <dimension ref="A1:H25"/>
  <sheetViews>
    <sheetView showGridLines="0" workbookViewId="0"/>
  </sheetViews>
  <sheetFormatPr defaultRowHeight="14.4" x14ac:dyDescent="0.3"/>
  <cols>
    <col min="1" max="1" width="14.6640625" customWidth="1"/>
    <col min="2" max="2" width="17.6640625" customWidth="1"/>
    <col min="3" max="5" width="18.109375" customWidth="1"/>
    <col min="6" max="6" width="20" bestFit="1" customWidth="1"/>
    <col min="7" max="7" width="18.109375" customWidth="1"/>
    <col min="8" max="8" width="19.88671875" bestFit="1" customWidth="1"/>
  </cols>
  <sheetData>
    <row r="1" spans="1:8" x14ac:dyDescent="0.3">
      <c r="A1" s="2" t="str">
        <f>Summary!A1</f>
        <v>Appendix 10.1</v>
      </c>
    </row>
    <row r="2" spans="1:8" x14ac:dyDescent="0.3">
      <c r="A2" s="12" t="str">
        <f>Summary!A2</f>
        <v>Net Metering Excess kWh Valuation &amp; Expiration Scenarios</v>
      </c>
    </row>
    <row r="3" spans="1:8" ht="5.0999999999999996" customHeight="1" x14ac:dyDescent="0.3">
      <c r="A3" s="2"/>
    </row>
    <row r="4" spans="1:8" x14ac:dyDescent="0.3">
      <c r="A4" s="56" t="s">
        <v>31</v>
      </c>
      <c r="B4" s="56"/>
      <c r="C4" s="56"/>
      <c r="D4" s="56"/>
      <c r="E4" s="56"/>
      <c r="F4" s="56"/>
      <c r="G4" s="14"/>
      <c r="H4" s="14"/>
    </row>
    <row r="5" spans="1:8" ht="5.0999999999999996" customHeight="1" x14ac:dyDescent="0.3"/>
    <row r="6" spans="1:8" x14ac:dyDescent="0.3"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1" t="s">
        <v>37</v>
      </c>
    </row>
    <row r="7" spans="1:8" s="6" customFormat="1" x14ac:dyDescent="0.3">
      <c r="A7" s="70" t="s">
        <v>38</v>
      </c>
      <c r="B7" s="71"/>
      <c r="C7" s="59" t="s">
        <v>39</v>
      </c>
      <c r="D7" s="59" t="s">
        <v>40</v>
      </c>
      <c r="E7" s="59" t="s">
        <v>14</v>
      </c>
      <c r="F7" s="59" t="s">
        <v>41</v>
      </c>
      <c r="G7" s="59" t="s">
        <v>42</v>
      </c>
      <c r="H7" s="60" t="s">
        <v>43</v>
      </c>
    </row>
    <row r="8" spans="1:8" x14ac:dyDescent="0.3">
      <c r="A8" s="58" t="s">
        <v>44</v>
      </c>
      <c r="B8" s="18" t="s">
        <v>1</v>
      </c>
      <c r="C8" s="61">
        <v>5524867738.000001</v>
      </c>
      <c r="D8" s="62">
        <v>470337702.70883757</v>
      </c>
      <c r="E8" s="62">
        <v>38718273.107904002</v>
      </c>
      <c r="F8" s="62">
        <v>41828773.644398004</v>
      </c>
      <c r="G8" s="62">
        <v>550884749.46113956</v>
      </c>
      <c r="H8" s="63">
        <v>9.9709999999999993E-2</v>
      </c>
    </row>
    <row r="9" spans="1:8" x14ac:dyDescent="0.3">
      <c r="A9" s="58" t="s">
        <v>45</v>
      </c>
      <c r="B9" s="18" t="s">
        <v>18</v>
      </c>
      <c r="C9" s="61">
        <v>137586160</v>
      </c>
      <c r="D9" s="62">
        <v>13947655.632896334</v>
      </c>
      <c r="E9" s="62">
        <v>1219563.72224</v>
      </c>
      <c r="F9" s="62">
        <v>1041664.81736</v>
      </c>
      <c r="G9" s="62">
        <v>16208884.172496336</v>
      </c>
      <c r="H9" s="64">
        <v>0.117809</v>
      </c>
    </row>
    <row r="10" spans="1:8" x14ac:dyDescent="0.3">
      <c r="A10" s="58" t="s">
        <v>46</v>
      </c>
      <c r="B10" s="18" t="s">
        <v>19</v>
      </c>
      <c r="C10" s="61">
        <v>3900728491</v>
      </c>
      <c r="D10" s="62">
        <v>206427161.71493435</v>
      </c>
      <c r="E10" s="62">
        <v>0</v>
      </c>
      <c r="F10" s="62">
        <v>29532415.405361</v>
      </c>
      <c r="G10" s="62">
        <v>235959577.12029535</v>
      </c>
      <c r="H10" s="64">
        <v>6.0491000000000003E-2</v>
      </c>
    </row>
    <row r="11" spans="1:8" x14ac:dyDescent="0.3">
      <c r="A11" s="58" t="s">
        <v>47</v>
      </c>
      <c r="B11" s="18" t="s">
        <v>3</v>
      </c>
      <c r="C11" s="61">
        <v>1897512119</v>
      </c>
      <c r="D11" s="62">
        <v>109148714.847223</v>
      </c>
      <c r="E11" s="62">
        <v>0</v>
      </c>
      <c r="F11" s="62">
        <v>14366064.252948999</v>
      </c>
      <c r="G11" s="62">
        <v>123514779.100172</v>
      </c>
      <c r="H11" s="65">
        <v>6.5092999999999998E-2</v>
      </c>
    </row>
    <row r="13" spans="1:8" x14ac:dyDescent="0.3">
      <c r="A13" s="70" t="s">
        <v>48</v>
      </c>
      <c r="B13" s="71"/>
      <c r="C13" s="59" t="s">
        <v>39</v>
      </c>
      <c r="D13" s="59" t="s">
        <v>40</v>
      </c>
      <c r="E13" s="59" t="s">
        <v>49</v>
      </c>
      <c r="F13" s="59" t="s">
        <v>50</v>
      </c>
      <c r="G13" s="59" t="s">
        <v>42</v>
      </c>
      <c r="H13" s="60" t="s">
        <v>43</v>
      </c>
    </row>
    <row r="14" spans="1:8" x14ac:dyDescent="0.3">
      <c r="A14" s="58" t="s">
        <v>51</v>
      </c>
      <c r="B14" s="18" t="s">
        <v>1</v>
      </c>
      <c r="C14" s="61">
        <v>190042478.01333153</v>
      </c>
      <c r="D14" s="62">
        <v>16070708.794505201</v>
      </c>
      <c r="E14" s="62">
        <v>143054.11355535677</v>
      </c>
      <c r="F14" s="62">
        <v>879339.37864115334</v>
      </c>
      <c r="G14" s="62">
        <v>17093102.286701713</v>
      </c>
      <c r="H14" s="63">
        <v>8.9943999999999996E-2</v>
      </c>
    </row>
    <row r="15" spans="1:8" x14ac:dyDescent="0.3">
      <c r="A15" s="58" t="s">
        <v>52</v>
      </c>
      <c r="B15" s="18" t="s">
        <v>18</v>
      </c>
      <c r="C15" s="61">
        <v>19356939</v>
      </c>
      <c r="D15" s="62">
        <v>1659176.7418885829</v>
      </c>
      <c r="E15" s="62">
        <v>12818.389013193952</v>
      </c>
      <c r="F15" s="62">
        <v>89251.03409469474</v>
      </c>
      <c r="G15" s="62">
        <v>1761246.1649964717</v>
      </c>
      <c r="H15" s="64">
        <v>9.0987999999999999E-2</v>
      </c>
    </row>
    <row r="16" spans="1:8" x14ac:dyDescent="0.3">
      <c r="A16" s="58" t="s">
        <v>53</v>
      </c>
      <c r="B16" s="18" t="s">
        <v>19</v>
      </c>
      <c r="C16" s="61">
        <v>135054701</v>
      </c>
      <c r="D16" s="62">
        <v>7493805.2251468813</v>
      </c>
      <c r="E16" s="62">
        <v>89434.785917266898</v>
      </c>
      <c r="F16" s="62">
        <v>619865.88586207689</v>
      </c>
      <c r="G16" s="62">
        <v>8203105.8969262252</v>
      </c>
      <c r="H16" s="64">
        <v>6.0739000000000001E-2</v>
      </c>
    </row>
    <row r="17" spans="1:8" x14ac:dyDescent="0.3">
      <c r="A17" s="58" t="s">
        <v>54</v>
      </c>
      <c r="B17" s="18" t="s">
        <v>3</v>
      </c>
      <c r="C17" s="61">
        <v>69205846</v>
      </c>
      <c r="D17" s="62">
        <v>5097441.2089308584</v>
      </c>
      <c r="E17" s="62">
        <v>45828.912103054754</v>
      </c>
      <c r="F17" s="62">
        <v>320134.81274496514</v>
      </c>
      <c r="G17" s="62">
        <v>5463404.9337788783</v>
      </c>
      <c r="H17" s="65">
        <v>7.8944E-2</v>
      </c>
    </row>
    <row r="19" spans="1:8" x14ac:dyDescent="0.3">
      <c r="A19" s="70" t="s">
        <v>55</v>
      </c>
      <c r="B19" s="71"/>
      <c r="C19" s="59" t="s">
        <v>39</v>
      </c>
      <c r="D19" s="59" t="s">
        <v>40</v>
      </c>
      <c r="E19" s="59" t="s">
        <v>14</v>
      </c>
      <c r="F19" s="59" t="s">
        <v>56</v>
      </c>
      <c r="G19" s="59" t="s">
        <v>42</v>
      </c>
      <c r="H19" s="60" t="s">
        <v>43</v>
      </c>
    </row>
    <row r="20" spans="1:8" x14ac:dyDescent="0.3">
      <c r="A20" s="58" t="s">
        <v>57</v>
      </c>
      <c r="B20" s="18" t="s">
        <v>1</v>
      </c>
      <c r="C20" s="61">
        <v>5714910216.0133324</v>
      </c>
      <c r="D20" s="62">
        <v>486408411.50334275</v>
      </c>
      <c r="E20" s="62">
        <v>38718273.107904002</v>
      </c>
      <c r="F20" s="62">
        <v>42851167.136594512</v>
      </c>
      <c r="G20" s="62">
        <v>567977851.74784124</v>
      </c>
      <c r="H20" s="63">
        <v>9.9385000000000001E-2</v>
      </c>
    </row>
    <row r="21" spans="1:8" x14ac:dyDescent="0.3">
      <c r="A21" s="58" t="s">
        <v>58</v>
      </c>
      <c r="B21" s="18" t="s">
        <v>18</v>
      </c>
      <c r="C21" s="61">
        <v>156943099</v>
      </c>
      <c r="D21" s="62">
        <v>15606832.374784917</v>
      </c>
      <c r="E21" s="62">
        <v>1219563.72224</v>
      </c>
      <c r="F21" s="62">
        <v>1143734.2404678888</v>
      </c>
      <c r="G21" s="62">
        <v>17970130.337492809</v>
      </c>
      <c r="H21" s="64">
        <v>0.11450100000000001</v>
      </c>
    </row>
    <row r="22" spans="1:8" x14ac:dyDescent="0.3">
      <c r="A22" s="58" t="s">
        <v>59</v>
      </c>
      <c r="B22" s="18" t="s">
        <v>19</v>
      </c>
      <c r="C22" s="61">
        <v>4035783192</v>
      </c>
      <c r="D22" s="62">
        <v>213920966.94008124</v>
      </c>
      <c r="E22" s="62">
        <v>0</v>
      </c>
      <c r="F22" s="62">
        <v>30241716.077140346</v>
      </c>
      <c r="G22" s="62">
        <v>244162683.01722157</v>
      </c>
      <c r="H22" s="64">
        <v>6.0498999999999997E-2</v>
      </c>
    </row>
    <row r="23" spans="1:8" x14ac:dyDescent="0.3">
      <c r="A23" s="58" t="s">
        <v>60</v>
      </c>
      <c r="B23" s="18" t="s">
        <v>3</v>
      </c>
      <c r="C23" s="61">
        <v>1966717965</v>
      </c>
      <c r="D23" s="62">
        <v>114246156.05615386</v>
      </c>
      <c r="E23" s="62">
        <v>0</v>
      </c>
      <c r="F23" s="62">
        <v>14732027.97779702</v>
      </c>
      <c r="G23" s="62">
        <v>128978184.03395088</v>
      </c>
      <c r="H23" s="65">
        <v>6.5579999999999999E-2</v>
      </c>
    </row>
    <row r="24" spans="1:8" x14ac:dyDescent="0.3">
      <c r="H24" s="7"/>
    </row>
    <row r="25" spans="1:8" x14ac:dyDescent="0.3">
      <c r="B25" s="66" t="s">
        <v>61</v>
      </c>
      <c r="C25" s="67">
        <f>IFERROR(ROUND(SUM(C20:C23)-SUM(C8:C11)-SUM(C14:C17),4),"Error")</f>
        <v>0</v>
      </c>
      <c r="D25" s="67">
        <f>IFERROR(ROUND(SUM(D20:D23)-SUM(D8:D11)-SUM(D14:D17),4),"Error")</f>
        <v>0</v>
      </c>
      <c r="E25" s="67">
        <f>IFERROR(ROUND(SUM(E20:E23)-SUM(E8:E11),4),"Error")</f>
        <v>0</v>
      </c>
      <c r="F25" s="67">
        <f>IFERROR(ROUND(SUM(F20:F23)-SUM(F8:F11)-SUM(E14:E17)-SUM(F14:F17),4),"Error")</f>
        <v>0</v>
      </c>
      <c r="G25" s="67">
        <f>IFERROR(ROUND(SUM(G20:G23)-SUM(G8:G11)-SUM(G14:G17),4),"Error")</f>
        <v>0</v>
      </c>
    </row>
  </sheetData>
  <mergeCells count="3">
    <mergeCell ref="A7:B7"/>
    <mergeCell ref="A13:B13"/>
    <mergeCell ref="A19:B19"/>
  </mergeCells>
  <pageMargins left="0.7" right="0.7" top="0.75" bottom="0.75" header="0.3" footer="0.3"/>
  <pageSetup scale="84" fitToHeight="0" orientation="landscape" verticalDpi="90" r:id="rId1"/>
  <headerFooter>
    <oddFooter>&amp;C&amp;1#&amp;"Calibri"&amp;10&amp;K000000Internal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0B76C1-34E2-4921-AB6F-1AA81764C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4F85F-AC1E-4AC8-8ADB-CF977B9FB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F0A538-884F-4D94-B2FC-CF90C600CA20}">
  <ds:schemaRefs>
    <ds:schemaRef ds:uri="http://www.w3.org/XML/1998/namespace"/>
    <ds:schemaRef ds:uri="http://purl.org/dc/elements/1.1/"/>
    <ds:schemaRef ds:uri="530c9a66-7473-4e82-81fb-9d30d5919279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5247408-4876-4c58-8512-699e0b1fe3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Average Energy Rate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2022-06-27T23:36:18Z</cp:lastPrinted>
  <dcterms:created xsi:type="dcterms:W3CDTF">2022-03-11T17:14:29Z</dcterms:created>
  <dcterms:modified xsi:type="dcterms:W3CDTF">2022-09-26T23:11:06Z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7a66c61f-cb7f-4f39-bb43-b4328370dee1_Enabled">
    <vt:lpwstr>true</vt:lpwstr>
  </property>
  <property fmtid="{D5CDD505-2E9C-101B-9397-08002B2CF9AE}" pid="5" name="MSIP_Label_7a66c61f-cb7f-4f39-bb43-b4328370dee1_SetDate">
    <vt:lpwstr>2022-04-13T21:26:58Z</vt:lpwstr>
  </property>
  <property fmtid="{D5CDD505-2E9C-101B-9397-08002B2CF9AE}" pid="6" name="MSIP_Label_7a66c61f-cb7f-4f39-bb43-b4328370dee1_Method">
    <vt:lpwstr>Standard</vt:lpwstr>
  </property>
  <property fmtid="{D5CDD505-2E9C-101B-9397-08002B2CF9AE}" pid="7" name="MSIP_Label_7a66c61f-cb7f-4f39-bb43-b4328370dee1_Name">
    <vt:lpwstr>Internal Use Only</vt:lpwstr>
  </property>
  <property fmtid="{D5CDD505-2E9C-101B-9397-08002B2CF9AE}" pid="8" name="MSIP_Label_7a66c61f-cb7f-4f39-bb43-b4328370dee1_SiteId">
    <vt:lpwstr>e1a7ae20-258a-4360-9870-74c2b37bfec5</vt:lpwstr>
  </property>
  <property fmtid="{D5CDD505-2E9C-101B-9397-08002B2CF9AE}" pid="9" name="MSIP_Label_7a66c61f-cb7f-4f39-bb43-b4328370dee1_ActionId">
    <vt:lpwstr>e1821d80-63c2-41cd-a6dc-a3fd94b62621</vt:lpwstr>
  </property>
  <property fmtid="{D5CDD505-2E9C-101B-9397-08002B2CF9AE}" pid="10" name="MSIP_Label_7a66c61f-cb7f-4f39-bb43-b4328370dee1_ContentBits">
    <vt:lpwstr>2</vt:lpwstr>
  </property>
</Properties>
</file>